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8120" windowHeight="16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27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B25" i="1"/>
  <c r="B26" i="1"/>
  <c r="B1" i="1"/>
  <c r="G5" i="1"/>
  <c r="G3" i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" i="1"/>
  <c r="L3" i="1"/>
  <c r="N3" i="1"/>
  <c r="O3" i="1"/>
  <c r="P3" i="1"/>
  <c r="L18" i="1"/>
  <c r="N18" i="1"/>
  <c r="O18" i="1"/>
  <c r="P18" i="1"/>
  <c r="L17" i="1"/>
  <c r="N17" i="1"/>
  <c r="O17" i="1"/>
  <c r="P17" i="1"/>
  <c r="L16" i="1"/>
  <c r="N16" i="1"/>
  <c r="O16" i="1"/>
  <c r="P16" i="1"/>
  <c r="L15" i="1"/>
  <c r="N15" i="1"/>
  <c r="O15" i="1"/>
  <c r="P15" i="1"/>
  <c r="L14" i="1"/>
  <c r="N14" i="1"/>
  <c r="O14" i="1"/>
  <c r="P14" i="1"/>
  <c r="L13" i="1"/>
  <c r="N13" i="1"/>
  <c r="O13" i="1"/>
  <c r="P13" i="1"/>
  <c r="L12" i="1"/>
  <c r="N12" i="1"/>
  <c r="O12" i="1"/>
  <c r="P12" i="1"/>
  <c r="L11" i="1"/>
  <c r="N11" i="1"/>
  <c r="O11" i="1"/>
  <c r="P11" i="1"/>
  <c r="L10" i="1"/>
  <c r="N10" i="1"/>
  <c r="O10" i="1"/>
  <c r="P10" i="1"/>
  <c r="L9" i="1"/>
  <c r="N9" i="1"/>
  <c r="O9" i="1"/>
  <c r="P9" i="1"/>
  <c r="L8" i="1"/>
  <c r="N8" i="1"/>
  <c r="O8" i="1"/>
  <c r="P8" i="1"/>
  <c r="L7" i="1"/>
  <c r="N7" i="1"/>
  <c r="O7" i="1"/>
  <c r="P7" i="1"/>
  <c r="L6" i="1"/>
  <c r="N6" i="1"/>
  <c r="O6" i="1"/>
  <c r="P6" i="1"/>
  <c r="L5" i="1"/>
  <c r="N5" i="1"/>
  <c r="O5" i="1"/>
  <c r="P5" i="1"/>
  <c r="L4" i="1"/>
  <c r="N4" i="1"/>
  <c r="O4" i="1"/>
  <c r="P4" i="1"/>
  <c r="L2" i="1"/>
  <c r="N2" i="1"/>
</calcChain>
</file>

<file path=xl/sharedStrings.xml><?xml version="1.0" encoding="utf-8"?>
<sst xmlns="http://schemas.openxmlformats.org/spreadsheetml/2006/main" count="38" uniqueCount="38">
  <si>
    <t>mo</t>
  </si>
  <si>
    <t>C</t>
  </si>
  <si>
    <t>R</t>
  </si>
  <si>
    <t>F</t>
  </si>
  <si>
    <t>J/K/mol</t>
  </si>
  <si>
    <t>C/mol</t>
  </si>
  <si>
    <t>N</t>
  </si>
  <si>
    <t>Titration point</t>
  </si>
  <si>
    <t>pH</t>
  </si>
  <si>
    <t>E (mV)</t>
  </si>
  <si>
    <t>Acid mass</t>
  </si>
  <si>
    <t>F1</t>
  </si>
  <si>
    <t>e</t>
  </si>
  <si>
    <t>Adusted mass</t>
  </si>
  <si>
    <t>E(V)</t>
  </si>
  <si>
    <t>mass kg</t>
  </si>
  <si>
    <t>Eo</t>
  </si>
  <si>
    <t>[H']</t>
  </si>
  <si>
    <t>1. Enter your pH values in the pH column</t>
  </si>
  <si>
    <t>2. Enter your temperature (degrees C) in the correct temperature column</t>
  </si>
  <si>
    <t>4. Enter your E (in mV) for each titration point</t>
  </si>
  <si>
    <t>6. Enter your acid mass in g</t>
  </si>
  <si>
    <t>8. Transform your mass to kg</t>
  </si>
  <si>
    <t>9. F1, Eo, and H' should be calculated for you</t>
  </si>
  <si>
    <t>log [H']</t>
  </si>
  <si>
    <t>10. calculate slope, intercept, and total alkalinity</t>
  </si>
  <si>
    <t>SLOPE of line F1 vs. acid mass (kg)</t>
  </si>
  <si>
    <t>**only use values corresponding to pH titration points between 3.5 and 3</t>
  </si>
  <si>
    <t>INTERCEPT of line F1 vs. acid mass (kg)</t>
  </si>
  <si>
    <t>Total Alkalinity</t>
  </si>
  <si>
    <t>kg</t>
  </si>
  <si>
    <t>Fill in information in upper lefthand corner: mo (initial mass of acid in kg), C (concentration of acid)</t>
  </si>
  <si>
    <r>
      <t>m</t>
    </r>
    <r>
      <rPr>
        <b/>
        <vertAlign val="subscript"/>
        <sz val="11"/>
        <color theme="1"/>
        <rFont val="Calibri"/>
        <scheme val="minor"/>
      </rPr>
      <t>e</t>
    </r>
  </si>
  <si>
    <t>Temp (°C)</t>
  </si>
  <si>
    <t>Temp (K)</t>
  </si>
  <si>
    <t>7. Adjust the mass by subtracting the initial mass from each entry to give you total acid added - this will be done automatically</t>
  </si>
  <si>
    <t>3. Calculate your temperature in Kelvin in the adjacted temperature column (this will be done automatically)</t>
  </si>
  <si>
    <t>5. Transform to V (this will be done automatically)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</si>
</sst>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scheme val="minor"/>
    </font>
    <font>
      <sz val="12"/>
      <color rgb="FFFF6600"/>
      <name val="Calibri"/>
      <scheme val="minor"/>
    </font>
    <font>
      <sz val="12"/>
      <color rgb="FF008000"/>
      <name val="Calibri"/>
      <scheme val="minor"/>
    </font>
    <font>
      <sz val="12"/>
      <color rgb="FF3366FF"/>
      <name val="Calibri"/>
      <scheme val="minor"/>
    </font>
    <font>
      <i/>
      <sz val="12"/>
      <color rgb="FF3366FF"/>
      <name val="Calibri"/>
      <scheme val="minor"/>
    </font>
    <font>
      <sz val="12"/>
      <color rgb="FF0000FF"/>
      <name val="Calibri"/>
      <scheme val="minor"/>
    </font>
    <font>
      <sz val="12"/>
      <color rgb="FF660066"/>
      <name val="Calibri"/>
      <scheme val="minor"/>
    </font>
    <font>
      <i/>
      <sz val="12"/>
      <color rgb="FF660066"/>
      <name val="Calibri"/>
      <scheme val="minor"/>
    </font>
    <font>
      <sz val="12"/>
      <color theme="5" tint="-0.249977111117893"/>
      <name val="Calibri"/>
      <scheme val="minor"/>
    </font>
    <font>
      <sz val="12"/>
      <color theme="1" tint="0.249977111117893"/>
      <name val="Calibri"/>
      <scheme val="minor"/>
    </font>
    <font>
      <b/>
      <vertAlign val="subscript"/>
      <sz val="11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color rgb="FFFF6600"/>
      <name val="Calibri"/>
      <scheme val="minor"/>
    </font>
    <font>
      <b/>
      <sz val="12"/>
      <color rgb="FF008000"/>
      <name val="Calibri"/>
      <scheme val="minor"/>
    </font>
    <font>
      <b/>
      <sz val="12"/>
      <color rgb="FF3366FF"/>
      <name val="Calibri"/>
      <scheme val="minor"/>
    </font>
    <font>
      <b/>
      <sz val="12"/>
      <color rgb="FF0000FF"/>
      <name val="Calibri"/>
      <scheme val="minor"/>
    </font>
    <font>
      <b/>
      <sz val="12"/>
      <color rgb="FF660066"/>
      <name val="Calibri"/>
      <scheme val="minor"/>
    </font>
    <font>
      <b/>
      <sz val="12"/>
      <color theme="5" tint="-0.249977111117893"/>
      <name val="Calibri"/>
      <scheme val="minor"/>
    </font>
    <font>
      <b/>
      <sz val="12"/>
      <color theme="1" tint="0.249977111117893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19"/>
          <c:order val="0"/>
          <c:marker>
            <c:symbol val="none"/>
          </c:marker>
          <c:cat>
            <c:numRef>
              <c:f>Sheet1!$M$5:$M$13</c:f>
              <c:numCache>
                <c:formatCode>General</c:formatCode>
                <c:ptCount val="9"/>
                <c:pt idx="0">
                  <c:v>165.0567610681263</c:v>
                </c:pt>
                <c:pt idx="1">
                  <c:v>191.8306564200384</c:v>
                </c:pt>
                <c:pt idx="2">
                  <c:v>217.8859033521255</c:v>
                </c:pt>
                <c:pt idx="3">
                  <c:v>237.8810319189752</c:v>
                </c:pt>
                <c:pt idx="4">
                  <c:v>265.9489908099141</c:v>
                </c:pt>
                <c:pt idx="5">
                  <c:v>320.7838373142784</c:v>
                </c:pt>
                <c:pt idx="6">
                  <c:v>380.5577022721727</c:v>
                </c:pt>
                <c:pt idx="7">
                  <c:v>444.0411602576965</c:v>
                </c:pt>
                <c:pt idx="8">
                  <c:v>498.7828325191953</c:v>
                </c:pt>
              </c:numCache>
            </c:numRef>
          </c:cat>
          <c:val>
            <c:numRef>
              <c:f>Sheet1!$E$5:$E$13</c:f>
              <c:numCache>
                <c:formatCode>General</c:formatCode>
                <c:ptCount val="9"/>
                <c:pt idx="0">
                  <c:v>3.5</c:v>
                </c:pt>
                <c:pt idx="1">
                  <c:v>3.44</c:v>
                </c:pt>
                <c:pt idx="2">
                  <c:v>3.37</c:v>
                </c:pt>
                <c:pt idx="3">
                  <c:v>3.34</c:v>
                </c:pt>
                <c:pt idx="4">
                  <c:v>3.29</c:v>
                </c:pt>
                <c:pt idx="5">
                  <c:v>3.2</c:v>
                </c:pt>
                <c:pt idx="6">
                  <c:v>3.13</c:v>
                </c:pt>
                <c:pt idx="7">
                  <c:v>3.06</c:v>
                </c:pt>
                <c:pt idx="8">
                  <c:v>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17832"/>
        <c:axId val="513142216"/>
      </c:lineChart>
      <c:catAx>
        <c:axId val="50281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13142216"/>
        <c:crosses val="autoZero"/>
        <c:auto val="1"/>
        <c:lblAlgn val="ctr"/>
        <c:lblOffset val="100"/>
        <c:noMultiLvlLbl val="0"/>
      </c:catAx>
      <c:valAx>
        <c:axId val="513142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2817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Sheet1!$L$5:$L$13</c:f>
              <c:numCache>
                <c:formatCode>General</c:formatCode>
                <c:ptCount val="9"/>
                <c:pt idx="0">
                  <c:v>0.003</c:v>
                </c:pt>
                <c:pt idx="1">
                  <c:v>0.003</c:v>
                </c:pt>
                <c:pt idx="2">
                  <c:v>0.00310000000000002</c:v>
                </c:pt>
                <c:pt idx="3">
                  <c:v>0.00319999999999999</c:v>
                </c:pt>
                <c:pt idx="4">
                  <c:v>0.00330000000000001</c:v>
                </c:pt>
                <c:pt idx="5">
                  <c:v>0.0035</c:v>
                </c:pt>
                <c:pt idx="6">
                  <c:v>0.00360000000000002</c:v>
                </c:pt>
                <c:pt idx="7">
                  <c:v>0.00360000000000002</c:v>
                </c:pt>
                <c:pt idx="8">
                  <c:v>0.00380000000000001</c:v>
                </c:pt>
              </c:numCache>
            </c:numRef>
          </c:xVal>
          <c:yVal>
            <c:numRef>
              <c:f>Sheet1!$M$5:$M$13</c:f>
              <c:numCache>
                <c:formatCode>General</c:formatCode>
                <c:ptCount val="9"/>
                <c:pt idx="0">
                  <c:v>165.0567610681263</c:v>
                </c:pt>
                <c:pt idx="1">
                  <c:v>191.8306564200384</c:v>
                </c:pt>
                <c:pt idx="2">
                  <c:v>217.8859033521255</c:v>
                </c:pt>
                <c:pt idx="3">
                  <c:v>237.8810319189752</c:v>
                </c:pt>
                <c:pt idx="4">
                  <c:v>265.9489908099141</c:v>
                </c:pt>
                <c:pt idx="5">
                  <c:v>320.7838373142784</c:v>
                </c:pt>
                <c:pt idx="6">
                  <c:v>380.5577022721727</c:v>
                </c:pt>
                <c:pt idx="7">
                  <c:v>444.0411602576965</c:v>
                </c:pt>
                <c:pt idx="8">
                  <c:v>498.7828325191953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739576"/>
        <c:axId val="502658312"/>
      </c:scatterChart>
      <c:valAx>
        <c:axId val="514739576"/>
        <c:scaling>
          <c:orientation val="minMax"/>
          <c:min val="0.003"/>
        </c:scaling>
        <c:delete val="0"/>
        <c:axPos val="b"/>
        <c:numFmt formatCode="General" sourceLinked="1"/>
        <c:majorTickMark val="out"/>
        <c:minorTickMark val="none"/>
        <c:tickLblPos val="nextTo"/>
        <c:crossAx val="502658312"/>
        <c:crosses val="autoZero"/>
        <c:crossBetween val="midCat"/>
      </c:valAx>
      <c:valAx>
        <c:axId val="502658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739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21</xdr:row>
      <xdr:rowOff>107950</xdr:rowOff>
    </xdr:from>
    <xdr:to>
      <xdr:col>10</xdr:col>
      <xdr:colOff>400050</xdr:colOff>
      <xdr:row>35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647700</xdr:colOff>
      <xdr:row>21</xdr:row>
      <xdr:rowOff>101600</xdr:rowOff>
    </xdr:from>
    <xdr:to>
      <xdr:col>10</xdr:col>
      <xdr:colOff>266700</xdr:colOff>
      <xdr:row>35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B29" sqref="B29"/>
    </sheetView>
  </sheetViews>
  <sheetFormatPr baseColWidth="10" defaultRowHeight="15" x14ac:dyDescent="0"/>
  <cols>
    <col min="1" max="1" width="32.5" customWidth="1"/>
    <col min="2" max="2" width="12.83203125" bestFit="1" customWidth="1"/>
    <col min="16" max="16" width="12.83203125" bestFit="1" customWidth="1"/>
  </cols>
  <sheetData>
    <row r="1" spans="1:16" ht="30">
      <c r="A1" s="1" t="s">
        <v>0</v>
      </c>
      <c r="B1">
        <f>0.2835</f>
        <v>0.28349999999999997</v>
      </c>
      <c r="C1" t="s">
        <v>30</v>
      </c>
      <c r="D1" s="16" t="s">
        <v>7</v>
      </c>
      <c r="E1" s="17" t="s">
        <v>8</v>
      </c>
      <c r="F1" s="18" t="s">
        <v>33</v>
      </c>
      <c r="G1" s="19" t="s">
        <v>34</v>
      </c>
      <c r="H1" s="20" t="s">
        <v>9</v>
      </c>
      <c r="I1" s="21" t="s">
        <v>14</v>
      </c>
      <c r="J1" s="22" t="s">
        <v>10</v>
      </c>
      <c r="K1" s="25" t="s">
        <v>13</v>
      </c>
      <c r="L1" s="23" t="s">
        <v>15</v>
      </c>
      <c r="M1" s="24" t="s">
        <v>11</v>
      </c>
      <c r="N1" s="24" t="s">
        <v>16</v>
      </c>
      <c r="O1" s="24" t="s">
        <v>17</v>
      </c>
      <c r="P1" s="24" t="s">
        <v>24</v>
      </c>
    </row>
    <row r="2" spans="1:16">
      <c r="A2" s="1" t="s">
        <v>1</v>
      </c>
      <c r="B2">
        <v>0.1</v>
      </c>
      <c r="C2" t="s">
        <v>6</v>
      </c>
      <c r="D2">
        <v>0</v>
      </c>
      <c r="E2" s="4">
        <v>7.7510000000000003</v>
      </c>
      <c r="F2" s="6">
        <v>20.2</v>
      </c>
      <c r="G2" s="7">
        <f>F2+273.15</f>
        <v>293.34999999999997</v>
      </c>
      <c r="H2" s="8">
        <v>-56</v>
      </c>
      <c r="I2" s="10">
        <f>H2/1000</f>
        <v>-5.6000000000000001E-2</v>
      </c>
      <c r="J2" s="11">
        <v>283.5</v>
      </c>
      <c r="K2" s="13">
        <f>$J$2-J2</f>
        <v>0</v>
      </c>
      <c r="L2" s="14">
        <f>K2/1000</f>
        <v>0</v>
      </c>
      <c r="M2">
        <f>(0.12677+L2)*(2.7183^(I2/((8.314472*G2)/96485.3399)))</f>
        <v>1.3833314766610276E-2</v>
      </c>
      <c r="N2" t="e">
        <f>I2-((8.314472*G2)/96485.3399)*LN(((-0.12677*0.002)+(L2*0.1))/(0.12677+L2))</f>
        <v>#NUM!</v>
      </c>
    </row>
    <row r="3" spans="1:16">
      <c r="A3" s="1" t="s">
        <v>2</v>
      </c>
      <c r="B3">
        <v>8.3144720000000003</v>
      </c>
      <c r="C3" t="s">
        <v>4</v>
      </c>
      <c r="D3">
        <v>1</v>
      </c>
      <c r="E3" s="4">
        <v>3.67</v>
      </c>
      <c r="F3" s="6">
        <v>20.2</v>
      </c>
      <c r="G3" s="7">
        <f t="shared" ref="G3:G18" si="0">F3+273.15</f>
        <v>293.34999999999997</v>
      </c>
      <c r="H3" s="8">
        <v>171.4</v>
      </c>
      <c r="I3" s="10">
        <f t="shared" ref="I3:I18" si="1">H3/1000</f>
        <v>0.1714</v>
      </c>
      <c r="J3" s="11">
        <v>280.8</v>
      </c>
      <c r="K3" s="13">
        <f t="shared" ref="K3:K18" si="2">$J$2-J3</f>
        <v>2.6999999999999886</v>
      </c>
      <c r="L3" s="14">
        <f t="shared" ref="L3:L18" si="3">K3/1000</f>
        <v>2.6999999999999884E-3</v>
      </c>
      <c r="M3">
        <f t="shared" ref="M3:M18" si="4">(0.12677+L3)*(2.7183^(I3/((8.314472*G3)/96485.3399)))</f>
        <v>113.98624913909605</v>
      </c>
      <c r="N3">
        <f>I3-((8.314472*G3)/96485.3399)*LN(((-0.12677*0.002)+(L3*0.1))/(0.12677+L3))</f>
        <v>0.39815925091693061</v>
      </c>
      <c r="O3">
        <f>2.7183^((I3-N3)/((8.314472*G3)/96485.3399))</f>
        <v>1.2712607552015789E-4</v>
      </c>
      <c r="P3">
        <f>-LOG10(O3)</f>
        <v>3.8957653598076933</v>
      </c>
    </row>
    <row r="4" spans="1:16">
      <c r="A4" s="1" t="s">
        <v>3</v>
      </c>
      <c r="B4">
        <v>96485.339900000006</v>
      </c>
      <c r="C4" t="s">
        <v>5</v>
      </c>
      <c r="D4">
        <v>2</v>
      </c>
      <c r="E4" s="4">
        <v>3.57</v>
      </c>
      <c r="F4" s="6">
        <v>20.2</v>
      </c>
      <c r="G4" s="7">
        <f t="shared" si="0"/>
        <v>293.34999999999997</v>
      </c>
      <c r="H4" s="8">
        <v>176.9</v>
      </c>
      <c r="I4" s="10">
        <f t="shared" si="1"/>
        <v>0.1769</v>
      </c>
      <c r="J4" s="11">
        <v>280.60000000000002</v>
      </c>
      <c r="K4" s="13">
        <f t="shared" si="2"/>
        <v>2.8999999999999773</v>
      </c>
      <c r="L4" s="14">
        <f t="shared" si="3"/>
        <v>2.8999999999999772E-3</v>
      </c>
      <c r="M4">
        <f t="shared" si="4"/>
        <v>141.91027138518007</v>
      </c>
      <c r="N4">
        <f t="shared" ref="N4:N18" si="5">I4-((8.314472*G4)/96485.3399)*LN(((-0.12677*0.002)+(L4*0.1))/(0.12677+L4))</f>
        <v>0.38359434351714783</v>
      </c>
      <c r="O4">
        <f t="shared" ref="O4:O18" si="6">2.7183^((I4-N4)/((8.314472*G4)/96485.3399))</f>
        <v>2.8115992266671078E-4</v>
      </c>
      <c r="P4">
        <f t="shared" ref="P4:P18" si="7">-LOG10(O4)</f>
        <v>3.5510465848084833</v>
      </c>
    </row>
    <row r="5" spans="1:16">
      <c r="A5" s="1" t="s">
        <v>12</v>
      </c>
      <c r="B5">
        <v>2.7183000000000002</v>
      </c>
      <c r="D5" s="15">
        <v>3</v>
      </c>
      <c r="E5" s="26">
        <v>3.5</v>
      </c>
      <c r="F5" s="27">
        <v>20.2</v>
      </c>
      <c r="G5" s="28">
        <f t="shared" si="0"/>
        <v>293.34999999999997</v>
      </c>
      <c r="H5" s="29">
        <v>180.7</v>
      </c>
      <c r="I5" s="30">
        <f t="shared" si="1"/>
        <v>0.1807</v>
      </c>
      <c r="J5" s="31">
        <v>280.5</v>
      </c>
      <c r="K5" s="32">
        <f t="shared" si="2"/>
        <v>3</v>
      </c>
      <c r="L5" s="33">
        <f t="shared" si="3"/>
        <v>3.0000000000000001E-3</v>
      </c>
      <c r="M5" s="15">
        <f t="shared" si="4"/>
        <v>165.05676106812626</v>
      </c>
      <c r="N5" s="15">
        <f t="shared" si="5"/>
        <v>0.38128681540656228</v>
      </c>
      <c r="O5" s="15">
        <f t="shared" si="6"/>
        <v>3.5799904158827868E-4</v>
      </c>
      <c r="P5" s="15">
        <f t="shared" si="7"/>
        <v>3.446118136019475</v>
      </c>
    </row>
    <row r="6" spans="1:16">
      <c r="D6" s="15">
        <v>4</v>
      </c>
      <c r="E6" s="26">
        <v>3.44</v>
      </c>
      <c r="F6" s="27">
        <v>20.2</v>
      </c>
      <c r="G6" s="28">
        <f t="shared" si="0"/>
        <v>293.34999999999997</v>
      </c>
      <c r="H6" s="29">
        <v>184.5</v>
      </c>
      <c r="I6" s="30">
        <f t="shared" si="1"/>
        <v>0.1845</v>
      </c>
      <c r="J6" s="31">
        <v>280.5</v>
      </c>
      <c r="K6" s="32">
        <f t="shared" si="2"/>
        <v>3</v>
      </c>
      <c r="L6" s="33">
        <f t="shared" si="3"/>
        <v>3.0000000000000001E-3</v>
      </c>
      <c r="M6" s="15">
        <f t="shared" si="4"/>
        <v>191.83065642003839</v>
      </c>
      <c r="N6" s="15">
        <f t="shared" si="5"/>
        <v>0.38508681540656231</v>
      </c>
      <c r="O6" s="15">
        <f t="shared" si="6"/>
        <v>3.5799904158827841E-4</v>
      </c>
      <c r="P6" s="15">
        <f t="shared" si="7"/>
        <v>3.4461181360194755</v>
      </c>
    </row>
    <row r="7" spans="1:16">
      <c r="D7" s="15">
        <v>5</v>
      </c>
      <c r="E7" s="26">
        <v>3.37</v>
      </c>
      <c r="F7" s="27">
        <v>20.2</v>
      </c>
      <c r="G7" s="28">
        <f t="shared" si="0"/>
        <v>293.34999999999997</v>
      </c>
      <c r="H7" s="29">
        <v>187.7</v>
      </c>
      <c r="I7" s="30">
        <f t="shared" si="1"/>
        <v>0.18769999999999998</v>
      </c>
      <c r="J7" s="31">
        <v>280.39999999999998</v>
      </c>
      <c r="K7" s="32">
        <f t="shared" si="2"/>
        <v>3.1000000000000227</v>
      </c>
      <c r="L7" s="33">
        <f t="shared" si="3"/>
        <v>3.1000000000000229E-3</v>
      </c>
      <c r="M7" s="15">
        <f t="shared" si="4"/>
        <v>217.88590335212547</v>
      </c>
      <c r="N7" s="15">
        <f t="shared" si="5"/>
        <v>0.38337838703665633</v>
      </c>
      <c r="O7" s="15">
        <f t="shared" si="6"/>
        <v>4.347199390148899E-4</v>
      </c>
      <c r="P7" s="15">
        <f t="shared" si="7"/>
        <v>3.3617904398516045</v>
      </c>
    </row>
    <row r="8" spans="1:16">
      <c r="D8" s="15">
        <v>6</v>
      </c>
      <c r="E8" s="26">
        <v>3.34</v>
      </c>
      <c r="F8" s="27">
        <v>20.2</v>
      </c>
      <c r="G8" s="28">
        <f t="shared" si="0"/>
        <v>293.34999999999997</v>
      </c>
      <c r="H8" s="29">
        <v>189.9</v>
      </c>
      <c r="I8" s="30">
        <f t="shared" si="1"/>
        <v>0.18990000000000001</v>
      </c>
      <c r="J8" s="31">
        <v>280.3</v>
      </c>
      <c r="K8" s="32">
        <f t="shared" si="2"/>
        <v>3.1999999999999886</v>
      </c>
      <c r="L8" s="33">
        <f t="shared" si="3"/>
        <v>3.1999999999999884E-3</v>
      </c>
      <c r="M8" s="15">
        <f t="shared" si="4"/>
        <v>237.88103191897525</v>
      </c>
      <c r="N8" s="15">
        <f t="shared" si="5"/>
        <v>0.38147565674892964</v>
      </c>
      <c r="O8" s="15">
        <f t="shared" si="6"/>
        <v>5.1132286783363561E-4</v>
      </c>
      <c r="P8" s="15">
        <f t="shared" si="7"/>
        <v>3.2913047839371088</v>
      </c>
    </row>
    <row r="9" spans="1:16">
      <c r="D9" s="15">
        <v>7</v>
      </c>
      <c r="E9" s="26">
        <v>3.29</v>
      </c>
      <c r="F9" s="27">
        <v>20.2</v>
      </c>
      <c r="G9" s="28">
        <f t="shared" si="0"/>
        <v>293.34999999999997</v>
      </c>
      <c r="H9" s="29">
        <v>192.7</v>
      </c>
      <c r="I9" s="30">
        <f t="shared" si="1"/>
        <v>0.19269999999999998</v>
      </c>
      <c r="J9" s="31">
        <v>280.2</v>
      </c>
      <c r="K9" s="32">
        <f t="shared" si="2"/>
        <v>3.3000000000000114</v>
      </c>
      <c r="L9" s="33">
        <f t="shared" si="3"/>
        <v>3.3000000000000113E-3</v>
      </c>
      <c r="M9" s="15">
        <f t="shared" si="4"/>
        <v>265.94899080991405</v>
      </c>
      <c r="N9" s="15">
        <f t="shared" si="5"/>
        <v>0.38075180946554421</v>
      </c>
      <c r="O9" s="15">
        <f t="shared" si="6"/>
        <v>5.8780808625068671E-4</v>
      </c>
      <c r="P9" s="15">
        <f t="shared" si="7"/>
        <v>3.2307644437994778</v>
      </c>
    </row>
    <row r="10" spans="1:16">
      <c r="D10" s="15">
        <v>8</v>
      </c>
      <c r="E10" s="26">
        <v>3.2</v>
      </c>
      <c r="F10" s="27">
        <v>20.2</v>
      </c>
      <c r="G10" s="28">
        <f t="shared" si="0"/>
        <v>293.34999999999997</v>
      </c>
      <c r="H10" s="29">
        <v>197.4</v>
      </c>
      <c r="I10" s="30">
        <f t="shared" si="1"/>
        <v>0.19739999999999999</v>
      </c>
      <c r="J10" s="31">
        <v>280</v>
      </c>
      <c r="K10" s="32">
        <f t="shared" si="2"/>
        <v>3.5</v>
      </c>
      <c r="L10" s="33">
        <f t="shared" si="3"/>
        <v>3.5000000000000001E-3</v>
      </c>
      <c r="M10" s="15">
        <f t="shared" si="4"/>
        <v>320.7838373142784</v>
      </c>
      <c r="N10" s="15">
        <f t="shared" si="5"/>
        <v>0.37961680975203704</v>
      </c>
      <c r="O10" s="15">
        <f t="shared" si="6"/>
        <v>7.4042643776889609E-4</v>
      </c>
      <c r="P10" s="15">
        <f t="shared" si="7"/>
        <v>3.1305180826633827</v>
      </c>
    </row>
    <row r="11" spans="1:16">
      <c r="D11" s="15">
        <v>9</v>
      </c>
      <c r="E11" s="26">
        <v>3.13</v>
      </c>
      <c r="F11" s="27">
        <v>20.2</v>
      </c>
      <c r="G11" s="28">
        <f t="shared" si="0"/>
        <v>293.34999999999997</v>
      </c>
      <c r="H11" s="29">
        <v>201.7</v>
      </c>
      <c r="I11" s="30">
        <f t="shared" si="1"/>
        <v>0.20169999999999999</v>
      </c>
      <c r="J11" s="31">
        <v>279.89999999999998</v>
      </c>
      <c r="K11" s="32">
        <f t="shared" si="2"/>
        <v>3.6000000000000227</v>
      </c>
      <c r="L11" s="33">
        <f t="shared" si="3"/>
        <v>3.6000000000000229E-3</v>
      </c>
      <c r="M11" s="15">
        <f t="shared" si="4"/>
        <v>380.55770227217266</v>
      </c>
      <c r="N11" s="15">
        <f t="shared" si="5"/>
        <v>0.38144266632999047</v>
      </c>
      <c r="O11" s="15">
        <f t="shared" si="6"/>
        <v>8.1656009700326732E-4</v>
      </c>
      <c r="P11" s="15">
        <f t="shared" si="7"/>
        <v>3.0880118466450952</v>
      </c>
    </row>
    <row r="12" spans="1:16">
      <c r="D12" s="15">
        <v>10</v>
      </c>
      <c r="E12" s="26">
        <v>3.06</v>
      </c>
      <c r="F12" s="27">
        <v>20.2</v>
      </c>
      <c r="G12" s="28">
        <f t="shared" si="0"/>
        <v>293.34999999999997</v>
      </c>
      <c r="H12" s="29">
        <v>205.6</v>
      </c>
      <c r="I12" s="30">
        <f t="shared" si="1"/>
        <v>0.2056</v>
      </c>
      <c r="J12" s="31">
        <v>279.89999999999998</v>
      </c>
      <c r="K12" s="32">
        <f t="shared" si="2"/>
        <v>3.6000000000000227</v>
      </c>
      <c r="L12" s="33">
        <f t="shared" si="3"/>
        <v>3.6000000000000229E-3</v>
      </c>
      <c r="M12" s="15">
        <f t="shared" si="4"/>
        <v>444.0411602576965</v>
      </c>
      <c r="N12" s="15">
        <f t="shared" si="5"/>
        <v>0.38534266632999048</v>
      </c>
      <c r="O12" s="15">
        <f t="shared" si="6"/>
        <v>8.1656009700326732E-4</v>
      </c>
      <c r="P12" s="15">
        <f t="shared" si="7"/>
        <v>3.0880118466450952</v>
      </c>
    </row>
    <row r="13" spans="1:16">
      <c r="D13" s="15">
        <v>11</v>
      </c>
      <c r="E13" s="26">
        <v>3</v>
      </c>
      <c r="F13" s="27">
        <v>20.2</v>
      </c>
      <c r="G13" s="28">
        <f t="shared" si="0"/>
        <v>293.34999999999997</v>
      </c>
      <c r="H13" s="29">
        <v>208.5</v>
      </c>
      <c r="I13" s="30">
        <f t="shared" si="1"/>
        <v>0.20849999999999999</v>
      </c>
      <c r="J13" s="31">
        <v>279.7</v>
      </c>
      <c r="K13" s="32">
        <f t="shared" si="2"/>
        <v>3.8000000000000114</v>
      </c>
      <c r="L13" s="33">
        <f t="shared" si="3"/>
        <v>3.8000000000000113E-3</v>
      </c>
      <c r="M13" s="15">
        <f t="shared" si="4"/>
        <v>498.78283251919527</v>
      </c>
      <c r="N13" s="15">
        <f t="shared" si="5"/>
        <v>0.38392947166239866</v>
      </c>
      <c r="O13" s="15">
        <f t="shared" si="6"/>
        <v>9.6847770130860356E-4</v>
      </c>
      <c r="P13" s="15">
        <f t="shared" si="7"/>
        <v>3.013910374232545</v>
      </c>
    </row>
    <row r="14" spans="1:16">
      <c r="D14">
        <v>12</v>
      </c>
      <c r="E14" s="4"/>
      <c r="F14" s="6">
        <v>20.2</v>
      </c>
      <c r="G14" s="7">
        <f t="shared" si="0"/>
        <v>293.34999999999997</v>
      </c>
      <c r="H14" s="8"/>
      <c r="I14" s="10">
        <f t="shared" si="1"/>
        <v>0</v>
      </c>
      <c r="J14" s="11"/>
      <c r="K14" s="13">
        <f t="shared" si="2"/>
        <v>283.5</v>
      </c>
      <c r="L14" s="14">
        <f t="shared" si="3"/>
        <v>0.28349999999999997</v>
      </c>
      <c r="M14">
        <f t="shared" si="4"/>
        <v>0.41026999999999997</v>
      </c>
      <c r="N14">
        <f t="shared" si="5"/>
        <v>6.7777273449038916E-2</v>
      </c>
      <c r="O14">
        <f t="shared" si="6"/>
        <v>6.8481625320701733E-2</v>
      </c>
      <c r="P14">
        <f t="shared" si="7"/>
        <v>1.1644259408040982</v>
      </c>
    </row>
    <row r="15" spans="1:16">
      <c r="D15">
        <v>13</v>
      </c>
      <c r="E15" s="4"/>
      <c r="F15" s="6">
        <v>20.2</v>
      </c>
      <c r="G15" s="7">
        <f t="shared" si="0"/>
        <v>293.34999999999997</v>
      </c>
      <c r="H15" s="8"/>
      <c r="I15" s="10">
        <f t="shared" si="1"/>
        <v>0</v>
      </c>
      <c r="J15" s="11"/>
      <c r="K15" s="13">
        <f t="shared" si="2"/>
        <v>283.5</v>
      </c>
      <c r="L15" s="14">
        <f t="shared" si="3"/>
        <v>0.28349999999999997</v>
      </c>
      <c r="M15">
        <f t="shared" si="4"/>
        <v>0.41026999999999997</v>
      </c>
      <c r="N15">
        <f t="shared" si="5"/>
        <v>6.7777273449038916E-2</v>
      </c>
      <c r="O15">
        <f t="shared" si="6"/>
        <v>6.8481625320701733E-2</v>
      </c>
      <c r="P15">
        <f t="shared" si="7"/>
        <v>1.1644259408040982</v>
      </c>
    </row>
    <row r="16" spans="1:16">
      <c r="D16">
        <v>14</v>
      </c>
      <c r="E16" s="4"/>
      <c r="F16" s="6">
        <v>20.2</v>
      </c>
      <c r="G16" s="7">
        <f t="shared" si="0"/>
        <v>293.34999999999997</v>
      </c>
      <c r="H16" s="8"/>
      <c r="I16" s="10">
        <f t="shared" si="1"/>
        <v>0</v>
      </c>
      <c r="J16" s="11"/>
      <c r="K16" s="13">
        <f t="shared" si="2"/>
        <v>283.5</v>
      </c>
      <c r="L16" s="14">
        <f t="shared" si="3"/>
        <v>0.28349999999999997</v>
      </c>
      <c r="M16">
        <f t="shared" si="4"/>
        <v>0.41026999999999997</v>
      </c>
      <c r="N16">
        <f t="shared" si="5"/>
        <v>6.7777273449038916E-2</v>
      </c>
      <c r="O16">
        <f t="shared" si="6"/>
        <v>6.8481625320701733E-2</v>
      </c>
      <c r="P16">
        <f t="shared" si="7"/>
        <v>1.1644259408040982</v>
      </c>
    </row>
    <row r="17" spans="1:16">
      <c r="D17">
        <v>15</v>
      </c>
      <c r="E17" s="4"/>
      <c r="F17" s="6">
        <v>20.2</v>
      </c>
      <c r="G17" s="7">
        <f t="shared" si="0"/>
        <v>293.34999999999997</v>
      </c>
      <c r="H17" s="8"/>
      <c r="I17" s="10">
        <f t="shared" si="1"/>
        <v>0</v>
      </c>
      <c r="J17" s="11"/>
      <c r="K17" s="13">
        <f t="shared" si="2"/>
        <v>283.5</v>
      </c>
      <c r="L17" s="14">
        <f t="shared" si="3"/>
        <v>0.28349999999999997</v>
      </c>
      <c r="M17">
        <f t="shared" si="4"/>
        <v>0.41026999999999997</v>
      </c>
      <c r="N17">
        <f t="shared" si="5"/>
        <v>6.7777273449038916E-2</v>
      </c>
      <c r="O17">
        <f t="shared" si="6"/>
        <v>6.8481625320701733E-2</v>
      </c>
      <c r="P17">
        <f t="shared" si="7"/>
        <v>1.1644259408040982</v>
      </c>
    </row>
    <row r="18" spans="1:16">
      <c r="D18" s="2">
        <v>16</v>
      </c>
      <c r="E18" s="5"/>
      <c r="F18" s="6">
        <v>20.2</v>
      </c>
      <c r="G18" s="7">
        <f t="shared" si="0"/>
        <v>293.34999999999997</v>
      </c>
      <c r="H18" s="9"/>
      <c r="I18" s="10">
        <f t="shared" si="1"/>
        <v>0</v>
      </c>
      <c r="J18" s="12"/>
      <c r="K18" s="13">
        <f t="shared" si="2"/>
        <v>283.5</v>
      </c>
      <c r="L18" s="14">
        <f t="shared" si="3"/>
        <v>0.28349999999999997</v>
      </c>
      <c r="M18">
        <f t="shared" si="4"/>
        <v>0.41026999999999997</v>
      </c>
      <c r="N18">
        <f t="shared" si="5"/>
        <v>6.7777273449038916E-2</v>
      </c>
      <c r="O18">
        <f t="shared" si="6"/>
        <v>6.8481625320701733E-2</v>
      </c>
      <c r="P18">
        <f t="shared" si="7"/>
        <v>1.1644259408040982</v>
      </c>
    </row>
    <row r="22" spans="1:16">
      <c r="I22" s="3"/>
      <c r="M22" t="s">
        <v>31</v>
      </c>
    </row>
    <row r="23" spans="1:16">
      <c r="M23" s="4" t="s">
        <v>18</v>
      </c>
    </row>
    <row r="24" spans="1:16">
      <c r="A24" t="s">
        <v>27</v>
      </c>
      <c r="M24" s="6" t="s">
        <v>19</v>
      </c>
    </row>
    <row r="25" spans="1:16">
      <c r="A25" s="15" t="s">
        <v>26</v>
      </c>
      <c r="B25">
        <f>SLOPE(M5:M13,L5:L13)</f>
        <v>389146.4902248751</v>
      </c>
      <c r="M25" s="7" t="s">
        <v>36</v>
      </c>
    </row>
    <row r="26" spans="1:16">
      <c r="A26" s="15" t="s">
        <v>28</v>
      </c>
      <c r="B26">
        <f>INTERCEPT(M5:M13,L5:L13)</f>
        <v>-998.94894220402784</v>
      </c>
      <c r="M26" s="8" t="s">
        <v>20</v>
      </c>
    </row>
    <row r="27" spans="1:16" ht="16">
      <c r="A27" s="15" t="s">
        <v>32</v>
      </c>
      <c r="B27">
        <f>-B26/B25</f>
        <v>2.5670254449083369E-3</v>
      </c>
      <c r="M27" s="10" t="s">
        <v>37</v>
      </c>
      <c r="N27" s="10"/>
    </row>
    <row r="28" spans="1:16">
      <c r="A28" s="15" t="s">
        <v>29</v>
      </c>
      <c r="B28">
        <f>((B27*B2)/B1)*1000000</f>
        <v>905.47634741034824</v>
      </c>
      <c r="M28" s="11" t="s">
        <v>21</v>
      </c>
    </row>
    <row r="29" spans="1:16">
      <c r="M29" s="13" t="s">
        <v>35</v>
      </c>
    </row>
    <row r="30" spans="1:16">
      <c r="M30" s="14" t="s">
        <v>22</v>
      </c>
    </row>
    <row r="31" spans="1:16">
      <c r="M31" t="s">
        <v>23</v>
      </c>
    </row>
    <row r="32" spans="1:16">
      <c r="M32" s="15" t="s">
        <v>25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2011-06-17T00:44:38Z</dcterms:created>
  <dcterms:modified xsi:type="dcterms:W3CDTF">2011-11-07T18:59:50Z</dcterms:modified>
</cp:coreProperties>
</file>